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Quantum Executive\Kath ANP\PVS\FSC docs\2020\05_August 2020\Extraordinary meeting 19th August\"/>
    </mc:Choice>
  </mc:AlternateContent>
  <xr:revisionPtr revIDLastSave="0" documentId="13_ncr:1_{5133ED64-0CFE-4852-B48A-12B97C6F3959}" xr6:coauthVersionLast="45" xr6:coauthVersionMax="45" xr10:uidLastSave="{00000000-0000-0000-0000-000000000000}"/>
  <bookViews>
    <workbookView xWindow="22932" yWindow="-108" windowWidth="22320" windowHeight="13176" xr2:uid="{A1987115-B190-4321-A3C6-7ABBC26A6BFC}"/>
  </bookViews>
  <sheets>
    <sheet name="Fee calculator" sheetId="1" r:id="rId1"/>
    <sheet name="2020 vs 2021" sheetId="3" state="hidden" r:id="rId2"/>
    <sheet name="2019 vs 2020" sheetId="2" state="hidden" r:id="rId3"/>
  </sheets>
  <definedNames>
    <definedName name="_xlnm.Print_Area" localSheetId="0">'Fee calculator'!$A$1:$O$35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F27" i="3"/>
  <c r="G27" i="3"/>
  <c r="E28" i="3"/>
  <c r="F28" i="3"/>
  <c r="G28" i="3"/>
  <c r="E29" i="3"/>
  <c r="F29" i="3"/>
  <c r="G29" i="3"/>
  <c r="G26" i="3"/>
  <c r="F26" i="3"/>
  <c r="E26" i="3"/>
  <c r="H23" i="1"/>
  <c r="H22" i="1"/>
  <c r="M17" i="3" l="1"/>
  <c r="N17" i="3" l="1"/>
  <c r="N23" i="3"/>
  <c r="N22" i="3"/>
  <c r="N21" i="3"/>
  <c r="N18" i="3"/>
  <c r="N16" i="3"/>
  <c r="N15" i="3"/>
  <c r="N14" i="3"/>
  <c r="G21" i="3"/>
  <c r="G22" i="3"/>
  <c r="G20" i="3"/>
  <c r="G15" i="3"/>
  <c r="G16" i="3"/>
  <c r="G17" i="3"/>
  <c r="G14" i="3"/>
  <c r="V1" i="1"/>
  <c r="U1" i="1"/>
  <c r="T3" i="1"/>
  <c r="T1" i="1"/>
  <c r="G24" i="2" l="1"/>
  <c r="L6" i="1" l="1"/>
  <c r="L20" i="1"/>
  <c r="H9" i="1"/>
  <c r="H8" i="1"/>
  <c r="H7" i="1"/>
  <c r="H6" i="1"/>
  <c r="L22" i="1" l="1"/>
  <c r="N18" i="1"/>
  <c r="U9" i="1"/>
  <c r="U8" i="1"/>
  <c r="U7" i="1"/>
  <c r="U6" i="1"/>
  <c r="U5" i="1"/>
  <c r="U4" i="1"/>
  <c r="U3" i="1"/>
  <c r="U2" i="1"/>
  <c r="K6" i="1"/>
  <c r="J6" i="1"/>
  <c r="I6" i="1"/>
  <c r="V8" i="1"/>
  <c r="V3" i="1"/>
  <c r="V2" i="1"/>
  <c r="H16" i="2"/>
  <c r="H15" i="2"/>
  <c r="H14" i="2"/>
  <c r="F7" i="1" l="1"/>
  <c r="F9" i="1"/>
  <c r="F8" i="1"/>
  <c r="V5" i="1"/>
  <c r="V6" i="1"/>
  <c r="V9" i="1"/>
  <c r="G8" i="1" s="1"/>
  <c r="V7" i="1"/>
  <c r="G7" i="1" s="1"/>
  <c r="V4" i="1"/>
  <c r="G9" i="1" l="1"/>
  <c r="T9" i="1"/>
  <c r="E8" i="1" s="1"/>
  <c r="T8" i="1"/>
  <c r="T7" i="1"/>
  <c r="E9" i="1" s="1"/>
  <c r="T6" i="1"/>
  <c r="T5" i="1"/>
  <c r="T4" i="1"/>
  <c r="T2" i="1"/>
  <c r="H24" i="2"/>
  <c r="H23" i="2"/>
  <c r="H22" i="2"/>
  <c r="H17" i="2"/>
  <c r="H13" i="2"/>
  <c r="H7" i="2"/>
  <c r="H8" i="2"/>
  <c r="H6" i="2"/>
  <c r="F6" i="1" l="1"/>
  <c r="E6" i="1"/>
  <c r="G6" i="1"/>
  <c r="E7" i="1"/>
  <c r="M6" i="1" l="1"/>
  <c r="M8" i="1"/>
  <c r="C43" i="1"/>
  <c r="C44" i="1"/>
  <c r="C46" i="1"/>
  <c r="C45" i="1"/>
  <c r="C40" i="1"/>
  <c r="M9" i="1"/>
  <c r="T14" i="1"/>
  <c r="M7" i="1"/>
  <c r="C49" i="1" l="1"/>
  <c r="D43" i="1" s="1"/>
  <c r="E43" i="1" s="1"/>
  <c r="D46" i="1" l="1"/>
  <c r="E46" i="1" s="1"/>
  <c r="E18" i="1"/>
  <c r="D45" i="1"/>
  <c r="E45" i="1" s="1"/>
  <c r="D44" i="1"/>
  <c r="E44" i="1" l="1"/>
  <c r="C50" i="1" s="1"/>
  <c r="E17" i="1" l="1"/>
  <c r="F17" i="1" s="1"/>
  <c r="F43" i="1"/>
  <c r="G43" i="1" s="1"/>
  <c r="F44" i="1"/>
  <c r="G44" i="1" s="1"/>
  <c r="F46" i="1"/>
  <c r="G46" i="1" s="1"/>
  <c r="F45" i="1"/>
  <c r="G45" i="1" s="1"/>
  <c r="C51" i="1" l="1"/>
  <c r="F18" i="1" l="1"/>
  <c r="E16" i="1"/>
  <c r="F16" i="1" s="1"/>
  <c r="M10" i="1" l="1"/>
  <c r="M11" i="1"/>
  <c r="M12" i="1" s="1"/>
  <c r="L18" i="1" s="1"/>
  <c r="M14" i="1" l="1"/>
</calcChain>
</file>

<file path=xl/sharedStrings.xml><?xml version="1.0" encoding="utf-8"?>
<sst xmlns="http://schemas.openxmlformats.org/spreadsheetml/2006/main" count="125" uniqueCount="85">
  <si>
    <t>Kindergarten (K3)</t>
  </si>
  <si>
    <t>Pre-Primary - Year 6</t>
  </si>
  <si>
    <t>Kindergarten (K4)</t>
  </si>
  <si>
    <t>General levies (per student)</t>
  </si>
  <si>
    <t>Year 6 camp</t>
  </si>
  <si>
    <t>Family levies</t>
  </si>
  <si>
    <t>P&amp;F levy</t>
  </si>
  <si>
    <t>Amenities Levy</t>
  </si>
  <si>
    <t>Capital Levy</t>
  </si>
  <si>
    <t>Tuition Fees</t>
  </si>
  <si>
    <t>Increase</t>
  </si>
  <si>
    <t>Second child</t>
  </si>
  <si>
    <t>Third child</t>
  </si>
  <si>
    <t>Fourth child</t>
  </si>
  <si>
    <t>Year 6</t>
  </si>
  <si>
    <t>Year 1</t>
  </si>
  <si>
    <t>Year 2</t>
  </si>
  <si>
    <t>Year 3</t>
  </si>
  <si>
    <t>Year 4</t>
  </si>
  <si>
    <t>Year 5</t>
  </si>
  <si>
    <t>Child's Name</t>
  </si>
  <si>
    <t>Kindy 3</t>
  </si>
  <si>
    <t>Kindy 4</t>
  </si>
  <si>
    <t>Pre Primary</t>
  </si>
  <si>
    <t>How would you like to pay?</t>
  </si>
  <si>
    <t>Paysmart - monthly</t>
  </si>
  <si>
    <t>Paysmart - fortnightly</t>
  </si>
  <si>
    <t>Not sure</t>
  </si>
  <si>
    <t>Tuition fee</t>
  </si>
  <si>
    <t>Resources Levy</t>
  </si>
  <si>
    <t>Amenities levy</t>
  </si>
  <si>
    <t>Capital levy</t>
  </si>
  <si>
    <t>Family levies (per family)</t>
  </si>
  <si>
    <t>Total</t>
  </si>
  <si>
    <t>TOTAL:</t>
  </si>
  <si>
    <t>Paysmart amount</t>
  </si>
  <si>
    <t>x 10 months</t>
  </si>
  <si>
    <t>x 20 fortnights</t>
  </si>
  <si>
    <t>In full upfront</t>
  </si>
  <si>
    <t>Admin fee*</t>
  </si>
  <si>
    <t>&lt;select&gt;</t>
  </si>
  <si>
    <t>Year level &lt;select&gt;</t>
  </si>
  <si>
    <t>Resources levy (K3)</t>
  </si>
  <si>
    <t>Resources levy (K4)</t>
  </si>
  <si>
    <t>Resources levy (PP)</t>
  </si>
  <si>
    <t>Resources levy (Y1-6)</t>
  </si>
  <si>
    <t>Family levies (K4 - Y6)</t>
  </si>
  <si>
    <t>Book list</t>
  </si>
  <si>
    <t>Stationery &amp; supplies (K3)</t>
  </si>
  <si>
    <t>Stationery &amp; supplies (K4)</t>
  </si>
  <si>
    <t>Stationery &amp; supplies (PP)</t>
  </si>
  <si>
    <t>Stationery &amp; supplies (Y1-6)</t>
  </si>
  <si>
    <t>Paysmart - termly</t>
  </si>
  <si>
    <t>x 4 terms</t>
  </si>
  <si>
    <t>Paysmart fee per transaction</t>
  </si>
  <si>
    <t>*No admin fee incurred if paid in full upfront or Paysmart agreement entered into at start of year</t>
  </si>
  <si>
    <t>Discounts (included in total above):</t>
  </si>
  <si>
    <r>
      <t>Booklist</t>
    </r>
    <r>
      <rPr>
        <b/>
        <sz val="10"/>
        <color theme="5" tint="-0.249977111117893"/>
        <rFont val="Calibri"/>
        <family val="2"/>
      </rPr>
      <t>⁺</t>
    </r>
  </si>
  <si>
    <t>PVS 2021 Fee Calculation Worksheet</t>
  </si>
  <si>
    <t>First child</t>
  </si>
  <si>
    <t>Tuition fees 2021</t>
  </si>
  <si>
    <t xml:space="preserve">Pre-Primary </t>
  </si>
  <si>
    <t>Year 1 - Year 6</t>
  </si>
  <si>
    <t>Sibling discounts (applied to lowest tuition fee)</t>
  </si>
  <si>
    <t>Total paysmart fees for 2021</t>
  </si>
  <si>
    <t>siblings entered</t>
  </si>
  <si>
    <t>Discount</t>
  </si>
  <si>
    <t xml:space="preserve">Tuition fees </t>
  </si>
  <si>
    <t>Change</t>
  </si>
  <si>
    <t>Discounts</t>
  </si>
  <si>
    <t>Number of students</t>
  </si>
  <si>
    <t>Fees</t>
  </si>
  <si>
    <t>Fee applied to</t>
  </si>
  <si>
    <t>Discount amount</t>
  </si>
  <si>
    <r>
      <rPr>
        <b/>
        <sz val="9"/>
        <color theme="5" tint="-0.249977111117893"/>
        <rFont val="Calibri"/>
        <family val="2"/>
      </rPr>
      <t>⁺</t>
    </r>
    <r>
      <rPr>
        <b/>
        <sz val="9"/>
        <color theme="5" tint="-0.249977111117893"/>
        <rFont val="Century Gothic"/>
        <family val="2"/>
      </rPr>
      <t>Booklist includes all stationery requirements for the year</t>
    </r>
  </si>
  <si>
    <t>Child</t>
  </si>
  <si>
    <t>Sibling Discount Calculation</t>
  </si>
  <si>
    <t>Highest discount applied to lowest fee first</t>
  </si>
  <si>
    <t>Sibling discounts (see calculation below)</t>
  </si>
  <si>
    <t>Early payment discount 5%</t>
  </si>
  <si>
    <t>order to apply discounts</t>
  </si>
  <si>
    <t>first applied flag</t>
  </si>
  <si>
    <t>remaining</t>
  </si>
  <si>
    <t>second applied flag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</si>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</sst>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_-&quot;$&quot;* #,##0_-;\-&quot;$&quot;* #,##0_-;_-&quot;$&quot;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 tint="-4.9989318521683403E-2"/>
      <name val="Century Gothic"/>
      <family val="2"/>
    </font>
    <font>
      <b/>
      <sz val="11"/>
      <color theme="0" tint="-4.9989318521683403E-2"/>
      <name val="Century Gothic"/>
      <family val="2"/>
    </font>
    <font>
      <b/>
      <sz val="26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26"/>
      <color theme="0" tint="-4.9989318521683403E-2"/>
      <name val="Century Gothic"/>
      <family val="2"/>
    </font>
    <font>
      <b/>
      <sz val="11"/>
      <color theme="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i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b/>
      <u/>
      <sz val="11"/>
      <color theme="0" tint="-4.9989318521683403E-2"/>
      <name val="Century Gothic"/>
      <family val="2"/>
    </font>
    <font>
      <u/>
      <sz val="11"/>
      <color theme="1"/>
      <name val="Century Gothic"/>
      <family val="2"/>
    </font>
    <font>
      <b/>
      <u/>
      <sz val="11"/>
      <color theme="0"/>
      <name val="Century Gothic"/>
      <family val="2"/>
    </font>
    <font>
      <sz val="10"/>
      <color theme="0" tint="-4.9989318521683403E-2"/>
      <name val="Century Gothic"/>
      <family val="2"/>
    </font>
    <font>
      <sz val="10"/>
      <color theme="0"/>
      <name val="Century Gothic"/>
      <family val="2"/>
    </font>
    <font>
      <sz val="9"/>
      <color theme="0"/>
      <name val="Century Gothic"/>
      <family val="2"/>
    </font>
    <font>
      <sz val="11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9"/>
      <color theme="5" tint="-0.249977111117893"/>
      <name val="Century Gothic"/>
      <family val="2"/>
    </font>
    <font>
      <b/>
      <sz val="10"/>
      <color theme="5" tint="-0.249977111117893"/>
      <name val="Century Gothic"/>
      <family val="2"/>
    </font>
    <font>
      <b/>
      <sz val="10"/>
      <color theme="5" tint="-0.249977111117893"/>
      <name val="Calibri"/>
      <family val="2"/>
    </font>
    <font>
      <b/>
      <sz val="9"/>
      <color theme="5" tint="-0.249977111117893"/>
      <name val="Calibri"/>
      <family val="2"/>
    </font>
    <font>
      <b/>
      <u/>
      <sz val="11"/>
      <color theme="5" tint="-0.249977111117893"/>
      <name val="Century Gothic"/>
      <family val="2"/>
    </font>
    <font>
      <b/>
      <u/>
      <sz val="9"/>
      <color theme="0" tint="-4.9989318521683403E-2"/>
      <name val="Century Gothic"/>
      <family val="2"/>
    </font>
    <font>
      <b/>
      <sz val="9"/>
      <color theme="0" tint="-4.9989318521683403E-2"/>
      <name val="Century Gothic"/>
      <family val="2"/>
    </font>
    <font>
      <sz val="10"/>
      <color theme="5" tint="-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0000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44" fontId="0" fillId="2" borderId="0" xfId="1" applyFont="1" applyFill="1"/>
    <xf numFmtId="0" fontId="2" fillId="2" borderId="0" xfId="0" applyFont="1" applyFill="1"/>
    <xf numFmtId="164" fontId="0" fillId="0" borderId="0" xfId="2" applyNumberFormat="1" applyFont="1"/>
    <xf numFmtId="0" fontId="5" fillId="3" borderId="0" xfId="0" applyFont="1" applyFill="1"/>
    <xf numFmtId="44" fontId="5" fillId="3" borderId="0" xfId="0" applyNumberFormat="1" applyFont="1" applyFill="1"/>
    <xf numFmtId="0" fontId="5" fillId="0" borderId="1" xfId="0" applyFont="1" applyFill="1" applyBorder="1" applyProtection="1">
      <protection locked="0"/>
    </xf>
    <xf numFmtId="0" fontId="5" fillId="4" borderId="9" xfId="0" applyFont="1" applyFill="1" applyBorder="1"/>
    <xf numFmtId="0" fontId="9" fillId="4" borderId="0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0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4" fontId="5" fillId="4" borderId="1" xfId="1" applyFont="1" applyFill="1" applyBorder="1"/>
    <xf numFmtId="44" fontId="5" fillId="4" borderId="2" xfId="1" applyFont="1" applyFill="1" applyBorder="1"/>
    <xf numFmtId="44" fontId="14" fillId="4" borderId="1" xfId="1" applyFont="1" applyFill="1" applyBorder="1"/>
    <xf numFmtId="44" fontId="5" fillId="4" borderId="5" xfId="1" applyFont="1" applyFill="1" applyBorder="1"/>
    <xf numFmtId="44" fontId="5" fillId="4" borderId="6" xfId="1" applyFont="1" applyFill="1" applyBorder="1"/>
    <xf numFmtId="0" fontId="10" fillId="4" borderId="0" xfId="0" applyFont="1" applyFill="1" applyBorder="1"/>
    <xf numFmtId="44" fontId="5" fillId="4" borderId="0" xfId="1" applyFont="1" applyFill="1" applyBorder="1"/>
    <xf numFmtId="44" fontId="13" fillId="4" borderId="0" xfId="1" applyFont="1" applyFill="1" applyBorder="1"/>
    <xf numFmtId="44" fontId="4" fillId="4" borderId="0" xfId="1" applyFont="1" applyFill="1" applyBorder="1"/>
    <xf numFmtId="44" fontId="19" fillId="4" borderId="0" xfId="1" applyFont="1" applyFill="1" applyBorder="1"/>
    <xf numFmtId="0" fontId="5" fillId="4" borderId="0" xfId="0" applyFont="1" applyFill="1" applyBorder="1" applyAlignment="1">
      <alignment horizontal="right"/>
    </xf>
    <xf numFmtId="0" fontId="15" fillId="4" borderId="0" xfId="0" applyFont="1" applyFill="1" applyBorder="1"/>
    <xf numFmtId="0" fontId="11" fillId="4" borderId="0" xfId="1" applyNumberFormat="1" applyFont="1" applyFill="1" applyBorder="1"/>
    <xf numFmtId="0" fontId="8" fillId="4" borderId="0" xfId="0" applyFont="1" applyFill="1" applyBorder="1"/>
    <xf numFmtId="44" fontId="8" fillId="4" borderId="0" xfId="1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3" fillId="4" borderId="0" xfId="0" applyFont="1" applyFill="1" applyBorder="1"/>
    <xf numFmtId="0" fontId="5" fillId="4" borderId="11" xfId="0" applyFont="1" applyFill="1" applyBorder="1"/>
    <xf numFmtId="0" fontId="5" fillId="4" borderId="14" xfId="0" applyFont="1" applyFill="1" applyBorder="1"/>
    <xf numFmtId="44" fontId="5" fillId="4" borderId="14" xfId="1" applyFont="1" applyFill="1" applyBorder="1"/>
    <xf numFmtId="0" fontId="5" fillId="4" borderId="12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44" fontId="13" fillId="5" borderId="0" xfId="1" applyFont="1" applyFill="1" applyBorder="1"/>
    <xf numFmtId="44" fontId="5" fillId="5" borderId="0" xfId="1" applyFont="1" applyFill="1" applyBorder="1"/>
    <xf numFmtId="44" fontId="23" fillId="5" borderId="0" xfId="1" applyFont="1" applyFill="1" applyBorder="1" applyAlignment="1">
      <alignment horizontal="right"/>
    </xf>
    <xf numFmtId="44" fontId="23" fillId="5" borderId="0" xfId="1" applyFont="1" applyFill="1" applyBorder="1"/>
    <xf numFmtId="0" fontId="21" fillId="5" borderId="19" xfId="0" applyFont="1" applyFill="1" applyBorder="1"/>
    <xf numFmtId="44" fontId="21" fillId="5" borderId="20" xfId="1" applyFont="1" applyFill="1" applyBorder="1"/>
    <xf numFmtId="0" fontId="21" fillId="5" borderId="21" xfId="0" applyFont="1" applyFill="1" applyBorder="1"/>
    <xf numFmtId="44" fontId="21" fillId="5" borderId="22" xfId="1" applyFont="1" applyFill="1" applyBorder="1"/>
    <xf numFmtId="0" fontId="22" fillId="5" borderId="19" xfId="0" applyFont="1" applyFill="1" applyBorder="1"/>
    <xf numFmtId="0" fontId="15" fillId="5" borderId="0" xfId="0" applyFont="1" applyFill="1" applyBorder="1"/>
    <xf numFmtId="44" fontId="22" fillId="5" borderId="20" xfId="1" applyFont="1" applyFill="1" applyBorder="1"/>
    <xf numFmtId="0" fontId="22" fillId="5" borderId="21" xfId="0" applyFont="1" applyFill="1" applyBorder="1"/>
    <xf numFmtId="0" fontId="15" fillId="5" borderId="24" xfId="0" applyFont="1" applyFill="1" applyBorder="1"/>
    <xf numFmtId="44" fontId="22" fillId="5" borderId="22" xfId="1" applyFont="1" applyFill="1" applyBorder="1"/>
    <xf numFmtId="0" fontId="25" fillId="4" borderId="0" xfId="0" applyFont="1" applyFill="1" applyBorder="1"/>
    <xf numFmtId="0" fontId="26" fillId="4" borderId="0" xfId="0" applyFont="1" applyFill="1" applyBorder="1"/>
    <xf numFmtId="44" fontId="26" fillId="4" borderId="0" xfId="1" applyFont="1" applyFill="1" applyBorder="1"/>
    <xf numFmtId="0" fontId="27" fillId="5" borderId="2" xfId="0" applyFont="1" applyFill="1" applyBorder="1" applyAlignment="1">
      <alignment horizontal="center" vertical="center" wrapText="1"/>
    </xf>
    <xf numFmtId="44" fontId="24" fillId="4" borderId="2" xfId="1" applyFont="1" applyFill="1" applyBorder="1"/>
    <xf numFmtId="0" fontId="28" fillId="4" borderId="0" xfId="0" quotePrefix="1" applyFont="1" applyFill="1" applyBorder="1"/>
    <xf numFmtId="0" fontId="29" fillId="5" borderId="2" xfId="0" applyFont="1" applyFill="1" applyBorder="1" applyAlignment="1">
      <alignment horizontal="center" vertical="center" wrapText="1"/>
    </xf>
    <xf numFmtId="0" fontId="5" fillId="3" borderId="0" xfId="0" applyNumberFormat="1" applyFont="1" applyFill="1"/>
    <xf numFmtId="0" fontId="18" fillId="5" borderId="0" xfId="0" applyFont="1" applyFill="1" applyBorder="1" applyAlignment="1">
      <alignment horizontal="center"/>
    </xf>
    <xf numFmtId="44" fontId="21" fillId="5" borderId="0" xfId="1" applyFont="1" applyFill="1" applyBorder="1"/>
    <xf numFmtId="0" fontId="33" fillId="5" borderId="0" xfId="0" applyFont="1" applyFill="1" applyBorder="1" applyAlignment="1">
      <alignment horizontal="center"/>
    </xf>
    <xf numFmtId="9" fontId="21" fillId="5" borderId="0" xfId="1" applyNumberFormat="1" applyFont="1" applyFill="1" applyBorder="1"/>
    <xf numFmtId="0" fontId="21" fillId="5" borderId="0" xfId="0" applyFont="1" applyFill="1" applyBorder="1"/>
    <xf numFmtId="9" fontId="21" fillId="5" borderId="0" xfId="0" applyNumberFormat="1" applyFont="1" applyFill="1" applyBorder="1"/>
    <xf numFmtId="9" fontId="21" fillId="5" borderId="0" xfId="2" applyFont="1" applyFill="1" applyBorder="1"/>
    <xf numFmtId="0" fontId="18" fillId="5" borderId="0" xfId="0" applyFont="1" applyFill="1" applyBorder="1" applyAlignment="1"/>
    <xf numFmtId="0" fontId="33" fillId="5" borderId="0" xfId="0" applyFont="1" applyFill="1" applyBorder="1" applyAlignment="1"/>
    <xf numFmtId="0" fontId="22" fillId="5" borderId="0" xfId="0" applyFont="1" applyFill="1" applyBorder="1"/>
    <xf numFmtId="44" fontId="22" fillId="5" borderId="0" xfId="1" applyFont="1" applyFill="1" applyBorder="1"/>
    <xf numFmtId="0" fontId="20" fillId="5" borderId="0" xfId="0" applyFont="1" applyFill="1" applyBorder="1" applyAlignment="1"/>
    <xf numFmtId="9" fontId="5" fillId="4" borderId="1" xfId="2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44" fontId="6" fillId="4" borderId="0" xfId="1" applyFont="1" applyFill="1" applyBorder="1"/>
    <xf numFmtId="44" fontId="6" fillId="4" borderId="0" xfId="1" applyFont="1" applyFill="1" applyBorder="1" applyAlignment="1">
      <alignment horizontal="right"/>
    </xf>
    <xf numFmtId="0" fontId="35" fillId="5" borderId="19" xfId="0" applyFont="1" applyFill="1" applyBorder="1"/>
    <xf numFmtId="44" fontId="35" fillId="5" borderId="20" xfId="1" applyFont="1" applyFill="1" applyBorder="1"/>
    <xf numFmtId="0" fontId="35" fillId="5" borderId="21" xfId="0" applyFont="1" applyFill="1" applyBorder="1"/>
    <xf numFmtId="44" fontId="35" fillId="5" borderId="22" xfId="1" applyFont="1" applyFill="1" applyBorder="1"/>
    <xf numFmtId="165" fontId="0" fillId="0" borderId="0" xfId="0" applyNumberFormat="1"/>
    <xf numFmtId="0" fontId="20" fillId="5" borderId="17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44" fontId="4" fillId="4" borderId="15" xfId="1" applyFont="1" applyFill="1" applyBorder="1" applyAlignment="1">
      <alignment horizontal="center"/>
    </xf>
    <xf numFmtId="44" fontId="4" fillId="4" borderId="16" xfId="1" applyFont="1" applyFill="1" applyBorder="1" applyAlignment="1">
      <alignment horizontal="center"/>
    </xf>
    <xf numFmtId="44" fontId="17" fillId="4" borderId="0" xfId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left"/>
    </xf>
    <xf numFmtId="0" fontId="34" fillId="5" borderId="25" xfId="0" applyFont="1" applyFill="1" applyBorder="1" applyAlignment="1">
      <alignment horizontal="left"/>
    </xf>
    <xf numFmtId="0" fontId="34" fillId="5" borderId="16" xfId="0" applyFont="1" applyFill="1" applyBorder="1" applyAlignment="1">
      <alignment horizontal="left"/>
    </xf>
    <xf numFmtId="0" fontId="18" fillId="5" borderId="17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55"/>
      <color rgb="FFCC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D398-260F-4C5F-89E4-186BA3D25080}">
  <sheetPr>
    <pageSetUpPr fitToPage="1"/>
  </sheetPr>
  <dimension ref="A1:V51"/>
  <sheetViews>
    <sheetView tabSelected="1" workbookViewId="0">
      <selection activeCell="L16" sqref="L16:M16"/>
    </sheetView>
  </sheetViews>
  <sheetFormatPr defaultColWidth="8.85546875" defaultRowHeight="16.5" x14ac:dyDescent="0.3"/>
  <cols>
    <col min="1" max="1" width="2" style="5" customWidth="1"/>
    <col min="2" max="2" width="19.28515625" style="5" customWidth="1"/>
    <col min="3" max="3" width="27.28515625" style="5" customWidth="1"/>
    <col min="4" max="4" width="15.7109375" style="5" customWidth="1"/>
    <col min="5" max="5" width="12.140625" style="5" customWidth="1"/>
    <col min="6" max="6" width="15" style="5" customWidth="1"/>
    <col min="7" max="7" width="14.85546875" style="5" customWidth="1"/>
    <col min="8" max="8" width="13.7109375" style="5" customWidth="1"/>
    <col min="9" max="9" width="12.28515625" style="5" customWidth="1"/>
    <col min="10" max="10" width="11.7109375" style="5" customWidth="1"/>
    <col min="11" max="11" width="12.7109375" style="5" customWidth="1"/>
    <col min="12" max="12" width="10" style="5" customWidth="1"/>
    <col min="13" max="13" width="14" style="5" customWidth="1"/>
    <col min="14" max="14" width="12" style="5" customWidth="1"/>
    <col min="15" max="15" width="2" style="5" customWidth="1"/>
    <col min="16" max="18" width="8.85546875" style="5"/>
    <col min="19" max="19" width="8.85546875" style="5" hidden="1" customWidth="1"/>
    <col min="20" max="20" width="14.140625" style="5" hidden="1" customWidth="1"/>
    <col min="21" max="21" width="8.85546875" style="5" hidden="1" customWidth="1"/>
    <col min="22" max="22" width="9.5703125" style="5" hidden="1" customWidth="1"/>
    <col min="23" max="16384" width="8.85546875" style="5"/>
  </cols>
  <sheetData>
    <row r="1" spans="1:22" ht="32.25" x14ac:dyDescent="0.4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S1" s="5" t="s">
        <v>21</v>
      </c>
      <c r="T1" s="6">
        <f>D22</f>
        <v>2180</v>
      </c>
      <c r="U1" s="6">
        <f>D28</f>
        <v>30</v>
      </c>
      <c r="V1" s="6">
        <f>H22</f>
        <v>159</v>
      </c>
    </row>
    <row r="2" spans="1:22" ht="10.9" customHeight="1" x14ac:dyDescent="0.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S2" s="5" t="s">
        <v>22</v>
      </c>
      <c r="T2" s="6">
        <f>D23</f>
        <v>2625</v>
      </c>
      <c r="U2" s="6">
        <f>D29</f>
        <v>50</v>
      </c>
      <c r="V2" s="6">
        <f>H23</f>
        <v>159</v>
      </c>
    </row>
    <row r="3" spans="1:22" x14ac:dyDescent="0.3">
      <c r="A3" s="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S3" s="5" t="s">
        <v>23</v>
      </c>
      <c r="T3" s="6">
        <f>D24</f>
        <v>2960</v>
      </c>
      <c r="U3" s="6">
        <f>D30</f>
        <v>80</v>
      </c>
      <c r="V3" s="6">
        <f>H24</f>
        <v>360</v>
      </c>
    </row>
    <row r="4" spans="1:22" ht="35.450000000000003" customHeight="1" x14ac:dyDescent="0.3">
      <c r="A4" s="8"/>
      <c r="B4" s="11"/>
      <c r="C4" s="12"/>
      <c r="D4" s="12"/>
      <c r="E4" s="12"/>
      <c r="F4" s="13"/>
      <c r="G4" s="96" t="s">
        <v>3</v>
      </c>
      <c r="H4" s="98"/>
      <c r="I4" s="96" t="s">
        <v>32</v>
      </c>
      <c r="J4" s="97"/>
      <c r="K4" s="97"/>
      <c r="L4" s="98"/>
      <c r="M4" s="14"/>
      <c r="N4" s="11"/>
      <c r="O4" s="10"/>
      <c r="S4" s="5" t="s">
        <v>15</v>
      </c>
      <c r="T4" s="6">
        <f t="shared" ref="T4:T9" si="0">$D$25</f>
        <v>1960</v>
      </c>
      <c r="U4" s="6">
        <f t="shared" ref="U4:U9" si="1">$D$31</f>
        <v>99</v>
      </c>
      <c r="V4" s="6">
        <f t="shared" ref="V4:V9" si="2">$H$25</f>
        <v>256</v>
      </c>
    </row>
    <row r="5" spans="1:22" ht="25.5" x14ac:dyDescent="0.3">
      <c r="A5" s="8"/>
      <c r="B5" s="11"/>
      <c r="C5" s="37" t="s">
        <v>20</v>
      </c>
      <c r="D5" s="37" t="s">
        <v>41</v>
      </c>
      <c r="E5" s="37" t="s">
        <v>28</v>
      </c>
      <c r="F5" s="60" t="s">
        <v>57</v>
      </c>
      <c r="G5" s="37" t="s">
        <v>29</v>
      </c>
      <c r="H5" s="37" t="s">
        <v>4</v>
      </c>
      <c r="I5" s="37" t="s">
        <v>6</v>
      </c>
      <c r="J5" s="37" t="s">
        <v>30</v>
      </c>
      <c r="K5" s="37" t="s">
        <v>31</v>
      </c>
      <c r="L5" s="57" t="s">
        <v>39</v>
      </c>
      <c r="M5" s="38" t="s">
        <v>33</v>
      </c>
      <c r="N5" s="11"/>
      <c r="O5" s="10"/>
      <c r="S5" s="5" t="s">
        <v>16</v>
      </c>
      <c r="T5" s="6">
        <f t="shared" si="0"/>
        <v>1960</v>
      </c>
      <c r="U5" s="6">
        <f t="shared" si="1"/>
        <v>99</v>
      </c>
      <c r="V5" s="6">
        <f t="shared" si="2"/>
        <v>256</v>
      </c>
    </row>
    <row r="6" spans="1:22" x14ac:dyDescent="0.3">
      <c r="A6" s="8"/>
      <c r="B6" s="39" t="s">
        <v>59</v>
      </c>
      <c r="C6" s="7"/>
      <c r="D6" s="7"/>
      <c r="E6" s="15" t="str">
        <f>IF(ISBLANK(D6),"",VLOOKUP(D6,$S$1:$T$9,2,FALSE))</f>
        <v/>
      </c>
      <c r="F6" s="15" t="str">
        <f>IF(ISBLANK(D6),"",VLOOKUP(D6,$S$1:$U$9,3,FALSE))</f>
        <v/>
      </c>
      <c r="G6" s="15" t="str">
        <f>IF(ISBLANK(D6),"",VLOOKUP(D6,$S$1:$V$9,4,FALSE))</f>
        <v/>
      </c>
      <c r="H6" s="15" t="str">
        <f>IF(D6=$S$9,$H$26,"")</f>
        <v/>
      </c>
      <c r="I6" s="16" t="str">
        <f>IF(OR(ISBLANK($D6),$D6=$S1),"",H29)</f>
        <v/>
      </c>
      <c r="J6" s="16" t="str">
        <f>IF(OR(ISBLANK($D6),$D6=$S1),"",H30)</f>
        <v/>
      </c>
      <c r="K6" s="16" t="str">
        <f>IF(OR(ISBLANK($D6),$D6=$S1),"",H31)</f>
        <v/>
      </c>
      <c r="L6" s="58" t="str">
        <f>IF(L16=S23,100,"")</f>
        <v/>
      </c>
      <c r="M6" s="17">
        <f>SUM(E6:L6)</f>
        <v>0</v>
      </c>
      <c r="N6" s="11"/>
      <c r="O6" s="10"/>
      <c r="S6" s="5" t="s">
        <v>17</v>
      </c>
      <c r="T6" s="6">
        <f t="shared" si="0"/>
        <v>1960</v>
      </c>
      <c r="U6" s="6">
        <f t="shared" si="1"/>
        <v>99</v>
      </c>
      <c r="V6" s="6">
        <f t="shared" si="2"/>
        <v>256</v>
      </c>
    </row>
    <row r="7" spans="1:22" x14ac:dyDescent="0.3">
      <c r="A7" s="8"/>
      <c r="B7" s="39" t="s">
        <v>11</v>
      </c>
      <c r="C7" s="7"/>
      <c r="D7" s="7"/>
      <c r="E7" s="15" t="str">
        <f>IF(ISBLANK(D7),"",VLOOKUP(D7,$S$1:$T$9,2,FALSE))</f>
        <v/>
      </c>
      <c r="F7" s="15" t="str">
        <f>IF(ISBLANK(D7),"",VLOOKUP(D7,$S$1:$U$9,3,FALSE))</f>
        <v/>
      </c>
      <c r="G7" s="15" t="str">
        <f>IF(ISBLANK(D7),"",VLOOKUP(D7,$S$1:$V$9,4,FALSE))</f>
        <v/>
      </c>
      <c r="H7" s="15" t="str">
        <f>IF(D7=$S$9,$H$26,"")</f>
        <v/>
      </c>
      <c r="I7" s="18"/>
      <c r="J7" s="18"/>
      <c r="K7" s="18"/>
      <c r="L7" s="18"/>
      <c r="M7" s="17">
        <f>SUM(E7:L7)</f>
        <v>0</v>
      </c>
      <c r="N7" s="11"/>
      <c r="O7" s="10"/>
      <c r="S7" s="5" t="s">
        <v>18</v>
      </c>
      <c r="T7" s="6">
        <f t="shared" si="0"/>
        <v>1960</v>
      </c>
      <c r="U7" s="6">
        <f t="shared" si="1"/>
        <v>99</v>
      </c>
      <c r="V7" s="6">
        <f t="shared" si="2"/>
        <v>256</v>
      </c>
    </row>
    <row r="8" spans="1:22" x14ac:dyDescent="0.3">
      <c r="A8" s="8"/>
      <c r="B8" s="39" t="s">
        <v>12</v>
      </c>
      <c r="C8" s="7"/>
      <c r="D8" s="7"/>
      <c r="E8" s="15" t="str">
        <f>IF(ISBLANK(D8),"",VLOOKUP(D8,$S$1:$T$9,2,FALSE))</f>
        <v/>
      </c>
      <c r="F8" s="15" t="str">
        <f>IF(ISBLANK(D8),"",VLOOKUP(D8,$S$1:$U$9,3,FALSE))</f>
        <v/>
      </c>
      <c r="G8" s="15" t="str">
        <f>IF(ISBLANK(D8),"",VLOOKUP(D8,$S$1:$V$9,4,FALSE))</f>
        <v/>
      </c>
      <c r="H8" s="15" t="str">
        <f>IF(D8=$S$9,$H$26,"")</f>
        <v/>
      </c>
      <c r="I8" s="18"/>
      <c r="J8" s="18"/>
      <c r="K8" s="18"/>
      <c r="L8" s="18"/>
      <c r="M8" s="17">
        <f>SUM(E8:L8)</f>
        <v>0</v>
      </c>
      <c r="N8" s="11"/>
      <c r="O8" s="10"/>
      <c r="S8" s="5" t="s">
        <v>19</v>
      </c>
      <c r="T8" s="6">
        <f t="shared" si="0"/>
        <v>1960</v>
      </c>
      <c r="U8" s="6">
        <f t="shared" si="1"/>
        <v>99</v>
      </c>
      <c r="V8" s="6">
        <f t="shared" si="2"/>
        <v>256</v>
      </c>
    </row>
    <row r="9" spans="1:22" x14ac:dyDescent="0.3">
      <c r="A9" s="8"/>
      <c r="B9" s="39" t="s">
        <v>13</v>
      </c>
      <c r="C9" s="7"/>
      <c r="D9" s="7"/>
      <c r="E9" s="15" t="str">
        <f>IF(ISBLANK(D9),"",VLOOKUP(D9,$S$1:$T$9,2,FALSE))</f>
        <v/>
      </c>
      <c r="F9" s="15" t="str">
        <f>IF(ISBLANK(D9),"",VLOOKUP(D9,$S$1:$U$9,3,FALSE))</f>
        <v/>
      </c>
      <c r="G9" s="15" t="str">
        <f>IF(ISBLANK(D9),"",VLOOKUP(D9,$S$1:$V$9,4,FALSE))</f>
        <v/>
      </c>
      <c r="H9" s="15" t="str">
        <f>IF(D9=$S$9,$H$26,"")</f>
        <v/>
      </c>
      <c r="I9" s="19"/>
      <c r="J9" s="19"/>
      <c r="K9" s="19"/>
      <c r="L9" s="19"/>
      <c r="M9" s="17">
        <f>SUM(E9:L9)</f>
        <v>0</v>
      </c>
      <c r="N9" s="11"/>
      <c r="O9" s="10"/>
      <c r="S9" s="5" t="s">
        <v>14</v>
      </c>
      <c r="T9" s="6">
        <f t="shared" si="0"/>
        <v>1960</v>
      </c>
      <c r="U9" s="6">
        <f t="shared" si="1"/>
        <v>99</v>
      </c>
      <c r="V9" s="6">
        <f t="shared" si="2"/>
        <v>256</v>
      </c>
    </row>
    <row r="10" spans="1:22" x14ac:dyDescent="0.3">
      <c r="A10" s="8"/>
      <c r="B10" s="59" t="s">
        <v>74</v>
      </c>
      <c r="C10" s="21"/>
      <c r="D10" s="21"/>
      <c r="E10" s="21"/>
      <c r="F10" s="21"/>
      <c r="G10" s="21"/>
      <c r="H10" s="21"/>
      <c r="I10" s="76"/>
      <c r="J10" s="21"/>
      <c r="K10" s="21"/>
      <c r="L10" s="77" t="s">
        <v>78</v>
      </c>
      <c r="M10" s="17">
        <f>SUM(F16:F18)</f>
        <v>0</v>
      </c>
      <c r="N10" s="11"/>
      <c r="O10" s="10"/>
      <c r="T10" s="6"/>
      <c r="U10" s="6"/>
      <c r="V10" s="6"/>
    </row>
    <row r="11" spans="1:22" x14ac:dyDescent="0.3">
      <c r="A11" s="8"/>
      <c r="B11" s="54" t="s">
        <v>55</v>
      </c>
      <c r="C11" s="21"/>
      <c r="D11" s="21"/>
      <c r="E11" s="21"/>
      <c r="F11" s="21"/>
      <c r="G11" s="21"/>
      <c r="H11" s="21"/>
      <c r="I11" s="76"/>
      <c r="J11" s="21"/>
      <c r="K11" s="21"/>
      <c r="L11" s="77" t="s">
        <v>79</v>
      </c>
      <c r="M11" s="17">
        <f>IF(L16="In full upfront",-0.05*SUM(E6:E9,M10),0)</f>
        <v>0</v>
      </c>
      <c r="N11" s="11"/>
      <c r="O11" s="10"/>
      <c r="T11" s="6"/>
      <c r="U11" s="6"/>
      <c r="V11" s="6"/>
    </row>
    <row r="12" spans="1:22" x14ac:dyDescent="0.3">
      <c r="A12" s="8"/>
      <c r="B12" s="54"/>
      <c r="C12" s="55"/>
      <c r="D12" s="55"/>
      <c r="E12" s="56"/>
      <c r="F12" s="21"/>
      <c r="G12" s="21"/>
      <c r="H12" s="21"/>
      <c r="I12" s="21"/>
      <c r="J12" s="21"/>
      <c r="K12" s="21"/>
      <c r="L12" s="40" t="s">
        <v>34</v>
      </c>
      <c r="M12" s="40">
        <f>SUM(M6:M11)</f>
        <v>0</v>
      </c>
      <c r="N12" s="11"/>
      <c r="O12" s="10"/>
      <c r="T12" s="6"/>
    </row>
    <row r="13" spans="1:22" x14ac:dyDescent="0.3">
      <c r="A13" s="8"/>
      <c r="B13" s="20"/>
      <c r="C13" s="11"/>
      <c r="D13" s="11"/>
      <c r="E13" s="21"/>
      <c r="F13" s="21"/>
      <c r="G13" s="21"/>
      <c r="H13" s="21"/>
      <c r="I13" s="21"/>
      <c r="J13" s="21"/>
      <c r="K13" s="21"/>
      <c r="L13" s="21"/>
      <c r="M13" s="21"/>
      <c r="N13" s="11"/>
      <c r="O13" s="10"/>
      <c r="T13" s="6"/>
    </row>
    <row r="14" spans="1:22" ht="25.5" customHeight="1" x14ac:dyDescent="0.3">
      <c r="A14" s="8"/>
      <c r="B14" s="20"/>
      <c r="C14" s="96" t="s">
        <v>76</v>
      </c>
      <c r="D14" s="97"/>
      <c r="E14" s="97"/>
      <c r="F14" s="98"/>
      <c r="G14" s="21"/>
      <c r="H14" s="21"/>
      <c r="I14" s="41"/>
      <c r="J14" s="41"/>
      <c r="K14" s="41"/>
      <c r="L14" s="42" t="s">
        <v>56</v>
      </c>
      <c r="M14" s="43">
        <f>SUM(M10:M11)</f>
        <v>0</v>
      </c>
      <c r="N14" s="11"/>
      <c r="O14" s="10"/>
      <c r="S14" s="5" t="s">
        <v>65</v>
      </c>
      <c r="T14" s="61">
        <f>COUNT(E6:E9)</f>
        <v>0</v>
      </c>
    </row>
    <row r="15" spans="1:22" ht="25.5" x14ac:dyDescent="0.3">
      <c r="A15" s="8"/>
      <c r="B15" s="11"/>
      <c r="C15" s="37" t="s">
        <v>75</v>
      </c>
      <c r="D15" s="37" t="s">
        <v>66</v>
      </c>
      <c r="E15" s="37" t="s">
        <v>72</v>
      </c>
      <c r="F15" s="37" t="s">
        <v>73</v>
      </c>
      <c r="G15" s="29"/>
      <c r="H15" s="11"/>
      <c r="I15" s="21"/>
      <c r="J15" s="21"/>
      <c r="K15" s="21"/>
      <c r="L15" s="21"/>
      <c r="M15" s="21"/>
      <c r="N15" s="23"/>
      <c r="O15" s="10"/>
    </row>
    <row r="16" spans="1:22" ht="14.45" customHeight="1" x14ac:dyDescent="0.3">
      <c r="A16" s="8"/>
      <c r="B16" s="11"/>
      <c r="C16" s="39" t="s">
        <v>11</v>
      </c>
      <c r="D16" s="74">
        <v>0.5</v>
      </c>
      <c r="E16" s="75" t="str">
        <f>IF(C40=2,C49,IF(C40=3,C50,IF(C40=4,C51,"")))</f>
        <v/>
      </c>
      <c r="F16" s="75" t="str">
        <f>IF(E16="","",-E16*D16)</f>
        <v/>
      </c>
      <c r="G16" s="29"/>
      <c r="H16" s="11"/>
      <c r="I16" s="11"/>
      <c r="J16" s="11"/>
      <c r="K16" s="25" t="s">
        <v>24</v>
      </c>
      <c r="L16" s="91" t="s">
        <v>26</v>
      </c>
      <c r="M16" s="92"/>
      <c r="N16" s="20" t="s">
        <v>40</v>
      </c>
      <c r="O16" s="10"/>
    </row>
    <row r="17" spans="1:21" ht="16.899999999999999" customHeight="1" x14ac:dyDescent="0.3">
      <c r="A17" s="8"/>
      <c r="B17" s="11"/>
      <c r="C17" s="39" t="s">
        <v>12</v>
      </c>
      <c r="D17" s="74">
        <v>0.6</v>
      </c>
      <c r="E17" s="75" t="str">
        <f>IF(C40=4,C50,IF(C40=3,C49,""))</f>
        <v/>
      </c>
      <c r="F17" s="75" t="str">
        <f t="shared" ref="F17:F18" si="3">IF(E17="","",-E17*D17)</f>
        <v/>
      </c>
      <c r="G17" s="29"/>
      <c r="H17" s="11"/>
      <c r="I17" s="11"/>
      <c r="J17" s="11"/>
      <c r="K17" s="11"/>
      <c r="L17" s="11"/>
      <c r="M17" s="11"/>
      <c r="N17" s="11"/>
      <c r="O17" s="10"/>
    </row>
    <row r="18" spans="1:21" x14ac:dyDescent="0.3">
      <c r="A18" s="8"/>
      <c r="B18" s="11"/>
      <c r="C18" s="39" t="s">
        <v>13</v>
      </c>
      <c r="D18" s="74">
        <v>1</v>
      </c>
      <c r="E18" s="75" t="str">
        <f>IF(C40=4,C49,"")</f>
        <v/>
      </c>
      <c r="F18" s="75" t="str">
        <f t="shared" si="3"/>
        <v/>
      </c>
      <c r="G18" s="29"/>
      <c r="H18" s="11"/>
      <c r="I18" s="11"/>
      <c r="J18" s="11"/>
      <c r="K18" s="25" t="s">
        <v>35</v>
      </c>
      <c r="L18" s="93">
        <f>IF(L16="Paysmart - monthly",M12/10,(IF(L16="Paysmart - fortnightly",M12/20,(IF(L16="Paysmart - termly",M12/4,"")))))</f>
        <v>0</v>
      </c>
      <c r="M18" s="94"/>
      <c r="N18" s="27" t="str">
        <f>IF(VLOOKUP(L16,$S$19:$T$23,2,FALSE)=0,"",VLOOKUP(L16,$S$19:$T$23,2,FALSE))</f>
        <v>x 20 fortnights</v>
      </c>
      <c r="O18" s="10"/>
    </row>
    <row r="19" spans="1:21" ht="15" customHeight="1" x14ac:dyDescent="0.3">
      <c r="A19" s="8"/>
      <c r="B19" s="11"/>
      <c r="C19" s="99" t="s">
        <v>77</v>
      </c>
      <c r="D19" s="100"/>
      <c r="E19" s="100"/>
      <c r="F19" s="101"/>
      <c r="G19" s="29"/>
      <c r="H19" s="11"/>
      <c r="I19" s="11"/>
      <c r="J19" s="11"/>
      <c r="K19" s="11"/>
      <c r="L19" s="11"/>
      <c r="M19" s="11"/>
      <c r="N19" s="11"/>
      <c r="O19" s="10"/>
      <c r="S19" s="5" t="s">
        <v>38</v>
      </c>
    </row>
    <row r="20" spans="1:21" ht="14.45" customHeight="1" x14ac:dyDescent="0.3">
      <c r="A20" s="8"/>
      <c r="B20" s="11"/>
      <c r="C20" s="11"/>
      <c r="D20" s="11"/>
      <c r="E20" s="21"/>
      <c r="F20" s="21"/>
      <c r="G20" s="21"/>
      <c r="H20" s="21"/>
      <c r="I20" s="20"/>
      <c r="J20" s="30"/>
      <c r="K20" s="31" t="s">
        <v>54</v>
      </c>
      <c r="L20" s="95">
        <f>IF(VLOOKUP(L16,$S$19:$U$23,3,FALSE)=0,"",VLOOKUP(L16,$S$19:$U$23,3,FALSE))</f>
        <v>1.95</v>
      </c>
      <c r="M20" s="95"/>
      <c r="N20" s="11"/>
      <c r="O20" s="10"/>
      <c r="S20" s="5" t="s">
        <v>52</v>
      </c>
      <c r="T20" s="5" t="s">
        <v>53</v>
      </c>
      <c r="U20" s="5">
        <v>3.95</v>
      </c>
    </row>
    <row r="21" spans="1:21" ht="13.9" customHeight="1" x14ac:dyDescent="0.3">
      <c r="A21" s="8"/>
      <c r="B21" s="11"/>
      <c r="C21" s="102" t="s">
        <v>60</v>
      </c>
      <c r="D21" s="104"/>
      <c r="E21" s="24"/>
      <c r="F21" s="102" t="s">
        <v>3</v>
      </c>
      <c r="G21" s="103"/>
      <c r="H21" s="104"/>
      <c r="I21" s="20"/>
      <c r="J21" s="20"/>
      <c r="K21" s="20"/>
      <c r="L21" s="20"/>
      <c r="M21" s="20"/>
      <c r="N21" s="11"/>
      <c r="O21" s="10"/>
      <c r="S21" s="5" t="s">
        <v>25</v>
      </c>
      <c r="T21" s="5" t="s">
        <v>36</v>
      </c>
      <c r="U21" s="5">
        <v>2.95</v>
      </c>
    </row>
    <row r="22" spans="1:21" ht="13.9" customHeight="1" x14ac:dyDescent="0.3">
      <c r="A22" s="8"/>
      <c r="B22" s="11"/>
      <c r="C22" s="44" t="s">
        <v>0</v>
      </c>
      <c r="D22" s="45">
        <v>2180</v>
      </c>
      <c r="E22" s="21"/>
      <c r="F22" s="48" t="s">
        <v>42</v>
      </c>
      <c r="G22" s="49"/>
      <c r="H22" s="50">
        <f>'2020 vs 2021'!M14</f>
        <v>159</v>
      </c>
      <c r="I22" s="20"/>
      <c r="J22" s="20"/>
      <c r="K22" s="31" t="s">
        <v>64</v>
      </c>
      <c r="L22" s="95">
        <f>IF(L16="Paysmart - monthly",L20*10,(IF(L16="Paysmart - fortnightly",L20*20,(IF(L16="Paysmart - termly",L20*4,"")))))</f>
        <v>39</v>
      </c>
      <c r="M22" s="95"/>
      <c r="N22" s="11"/>
      <c r="O22" s="10"/>
      <c r="S22" s="5" t="s">
        <v>26</v>
      </c>
      <c r="T22" s="5" t="s">
        <v>37</v>
      </c>
      <c r="U22" s="5">
        <v>1.95</v>
      </c>
    </row>
    <row r="23" spans="1:21" ht="13.9" customHeight="1" x14ac:dyDescent="0.3">
      <c r="A23" s="8"/>
      <c r="B23" s="11"/>
      <c r="C23" s="44" t="s">
        <v>2</v>
      </c>
      <c r="D23" s="45">
        <v>2625</v>
      </c>
      <c r="E23" s="21"/>
      <c r="F23" s="48" t="s">
        <v>43</v>
      </c>
      <c r="G23" s="49"/>
      <c r="H23" s="50">
        <f>'2020 vs 2021'!M15</f>
        <v>159</v>
      </c>
      <c r="I23" s="11"/>
      <c r="J23" s="11"/>
      <c r="K23" s="11"/>
      <c r="L23" s="11"/>
      <c r="M23" s="11"/>
      <c r="N23" s="11"/>
      <c r="O23" s="10"/>
      <c r="S23" s="5" t="s">
        <v>27</v>
      </c>
    </row>
    <row r="24" spans="1:21" ht="13.9" customHeight="1" x14ac:dyDescent="0.3">
      <c r="A24" s="8"/>
      <c r="B24" s="11"/>
      <c r="C24" s="44" t="s">
        <v>61</v>
      </c>
      <c r="D24" s="45">
        <v>2960</v>
      </c>
      <c r="E24" s="21"/>
      <c r="F24" s="48" t="s">
        <v>44</v>
      </c>
      <c r="G24" s="49"/>
      <c r="H24" s="50">
        <v>360</v>
      </c>
      <c r="I24" s="11"/>
      <c r="J24" s="11"/>
      <c r="K24" s="11"/>
      <c r="L24" s="11"/>
      <c r="M24" s="11"/>
      <c r="N24" s="11"/>
      <c r="O24" s="10"/>
    </row>
    <row r="25" spans="1:21" ht="13.9" customHeight="1" x14ac:dyDescent="0.3">
      <c r="A25" s="8"/>
      <c r="B25" s="11"/>
      <c r="C25" s="46" t="s">
        <v>62</v>
      </c>
      <c r="D25" s="47">
        <v>1960</v>
      </c>
      <c r="E25" s="21"/>
      <c r="F25" s="48" t="s">
        <v>45</v>
      </c>
      <c r="G25" s="49"/>
      <c r="H25" s="50">
        <v>256</v>
      </c>
      <c r="I25" s="11"/>
      <c r="J25" s="11"/>
      <c r="K25" s="11"/>
      <c r="L25" s="11"/>
      <c r="M25" s="11"/>
      <c r="N25" s="11"/>
      <c r="O25" s="10"/>
    </row>
    <row r="26" spans="1:21" ht="13.9" customHeight="1" x14ac:dyDescent="0.3">
      <c r="A26" s="8"/>
      <c r="B26" s="11"/>
      <c r="C26" s="28"/>
      <c r="D26" s="29"/>
      <c r="E26" s="21"/>
      <c r="F26" s="51" t="s">
        <v>4</v>
      </c>
      <c r="G26" s="52"/>
      <c r="H26" s="53">
        <v>600</v>
      </c>
      <c r="I26" s="11"/>
      <c r="J26" s="11"/>
      <c r="K26" s="11"/>
      <c r="L26" s="11"/>
      <c r="M26" s="11"/>
      <c r="N26" s="11"/>
      <c r="O26" s="10"/>
    </row>
    <row r="27" spans="1:21" ht="13.9" customHeight="1" x14ac:dyDescent="0.3">
      <c r="A27" s="8"/>
      <c r="B27" s="11"/>
      <c r="C27" s="86" t="s">
        <v>47</v>
      </c>
      <c r="D27" s="87"/>
      <c r="E27" s="21"/>
      <c r="F27" s="32"/>
      <c r="G27" s="22"/>
      <c r="H27" s="26"/>
      <c r="I27" s="11"/>
      <c r="J27" s="11"/>
      <c r="K27" s="11"/>
      <c r="L27" s="11"/>
      <c r="M27" s="11"/>
      <c r="N27" s="11"/>
      <c r="O27" s="10"/>
    </row>
    <row r="28" spans="1:21" ht="13.9" customHeight="1" x14ac:dyDescent="0.3">
      <c r="A28" s="8"/>
      <c r="B28" s="11"/>
      <c r="C28" s="78" t="s">
        <v>48</v>
      </c>
      <c r="D28" s="79">
        <v>30</v>
      </c>
      <c r="E28" s="21"/>
      <c r="F28" s="83" t="s">
        <v>46</v>
      </c>
      <c r="G28" s="84"/>
      <c r="H28" s="85"/>
      <c r="I28" s="11"/>
      <c r="J28" s="11"/>
      <c r="K28" s="11"/>
      <c r="L28" s="11"/>
      <c r="M28" s="11"/>
      <c r="N28" s="11"/>
      <c r="O28" s="10"/>
    </row>
    <row r="29" spans="1:21" ht="13.9" customHeight="1" x14ac:dyDescent="0.3">
      <c r="A29" s="8"/>
      <c r="B29" s="11"/>
      <c r="C29" s="78" t="s">
        <v>49</v>
      </c>
      <c r="D29" s="79">
        <v>50</v>
      </c>
      <c r="E29" s="21"/>
      <c r="F29" s="48" t="s">
        <v>6</v>
      </c>
      <c r="G29" s="49"/>
      <c r="H29" s="50">
        <v>52</v>
      </c>
      <c r="I29" s="11"/>
      <c r="J29" s="11"/>
      <c r="K29" s="11"/>
      <c r="L29" s="11"/>
      <c r="M29" s="11"/>
      <c r="N29" s="11"/>
      <c r="O29" s="10"/>
    </row>
    <row r="30" spans="1:21" ht="13.9" customHeight="1" x14ac:dyDescent="0.3">
      <c r="A30" s="8"/>
      <c r="B30" s="11"/>
      <c r="C30" s="78" t="s">
        <v>50</v>
      </c>
      <c r="D30" s="79">
        <v>80</v>
      </c>
      <c r="E30" s="21"/>
      <c r="F30" s="48" t="s">
        <v>7</v>
      </c>
      <c r="G30" s="49"/>
      <c r="H30" s="50">
        <v>52</v>
      </c>
      <c r="I30" s="11"/>
      <c r="J30" s="11"/>
      <c r="K30" s="11"/>
      <c r="L30" s="11"/>
      <c r="M30" s="11"/>
      <c r="N30" s="11"/>
      <c r="O30" s="10"/>
    </row>
    <row r="31" spans="1:21" ht="13.9" customHeight="1" x14ac:dyDescent="0.3">
      <c r="A31" s="8"/>
      <c r="B31" s="11"/>
      <c r="C31" s="80" t="s">
        <v>51</v>
      </c>
      <c r="D31" s="81">
        <v>99</v>
      </c>
      <c r="E31" s="21"/>
      <c r="F31" s="51" t="s">
        <v>8</v>
      </c>
      <c r="G31" s="52"/>
      <c r="H31" s="53">
        <v>440</v>
      </c>
      <c r="I31" s="11"/>
      <c r="J31" s="11"/>
      <c r="K31" s="11"/>
      <c r="L31" s="11"/>
      <c r="M31" s="11"/>
      <c r="N31" s="11"/>
      <c r="O31" s="10"/>
    </row>
    <row r="32" spans="1:21" ht="13.9" customHeight="1" x14ac:dyDescent="0.3">
      <c r="A32" s="8"/>
      <c r="B32" s="11"/>
      <c r="C32" s="28"/>
      <c r="D32" s="29"/>
      <c r="E32" s="21"/>
      <c r="F32" s="28"/>
      <c r="G32" s="29"/>
      <c r="H32" s="11"/>
      <c r="I32" s="11"/>
      <c r="J32" s="11"/>
      <c r="K32" s="11"/>
      <c r="L32" s="11"/>
      <c r="M32" s="11"/>
      <c r="N32" s="11"/>
      <c r="O32" s="10"/>
    </row>
    <row r="33" spans="1:15" ht="13.9" customHeight="1" x14ac:dyDescent="0.3">
      <c r="A33" s="8"/>
      <c r="B33" s="11"/>
      <c r="C33" s="28"/>
      <c r="D33" s="29"/>
      <c r="E33" s="21"/>
      <c r="F33" s="28"/>
      <c r="G33" s="29"/>
      <c r="H33" s="11"/>
      <c r="I33" s="11"/>
      <c r="J33" s="11"/>
      <c r="K33" s="11"/>
      <c r="L33" s="11"/>
      <c r="M33" s="11"/>
      <c r="N33" s="11"/>
      <c r="O33" s="10"/>
    </row>
    <row r="34" spans="1:15" ht="13.9" customHeight="1" x14ac:dyDescent="0.3">
      <c r="A34" s="8"/>
      <c r="B34" s="11"/>
      <c r="C34" s="11"/>
      <c r="D34" s="11"/>
      <c r="E34" s="21"/>
      <c r="F34" s="28"/>
      <c r="G34" s="29"/>
      <c r="H34" s="11"/>
      <c r="I34" s="11"/>
      <c r="J34" s="11"/>
      <c r="K34" s="11"/>
      <c r="L34" s="11"/>
      <c r="M34" s="11"/>
      <c r="N34" s="11"/>
      <c r="O34" s="10"/>
    </row>
    <row r="35" spans="1:15" ht="13.9" customHeight="1" thickBot="1" x14ac:dyDescent="0.35">
      <c r="A35" s="33"/>
      <c r="B35" s="34"/>
      <c r="C35" s="35"/>
      <c r="D35" s="35"/>
      <c r="E35" s="35"/>
      <c r="F35" s="34"/>
      <c r="G35" s="34"/>
      <c r="H35" s="34"/>
      <c r="I35" s="34"/>
      <c r="J35" s="34"/>
      <c r="K35" s="34"/>
      <c r="L35" s="34"/>
      <c r="M35" s="34"/>
      <c r="N35" s="34"/>
      <c r="O35" s="36"/>
    </row>
    <row r="39" spans="1:15" hidden="1" x14ac:dyDescent="0.3">
      <c r="B39" s="5" t="s">
        <v>69</v>
      </c>
    </row>
    <row r="40" spans="1:15" hidden="1" x14ac:dyDescent="0.3">
      <c r="B40" s="5" t="s">
        <v>70</v>
      </c>
      <c r="C40" s="5">
        <f>COUNT(E6:E9)</f>
        <v>0</v>
      </c>
    </row>
    <row r="41" spans="1:15" hidden="1" x14ac:dyDescent="0.3"/>
    <row r="42" spans="1:15" hidden="1" x14ac:dyDescent="0.3">
      <c r="B42" s="5" t="s">
        <v>71</v>
      </c>
      <c r="C42" s="6" t="s">
        <v>84</v>
      </c>
      <c r="D42" s="5" t="s">
        <v>81</v>
      </c>
      <c r="E42" s="5" t="s">
        <v>82</v>
      </c>
      <c r="F42" s="5" t="s">
        <v>83</v>
      </c>
      <c r="G42" s="5" t="s">
        <v>82</v>
      </c>
    </row>
    <row r="43" spans="1:15" hidden="1" x14ac:dyDescent="0.3">
      <c r="B43" s="45">
        <v>1960</v>
      </c>
      <c r="C43" s="5">
        <f>COUNTIF($E$6:$E$9,B43)</f>
        <v>0</v>
      </c>
      <c r="D43" s="5">
        <f>COUNTIF($C$49,B43)</f>
        <v>0</v>
      </c>
      <c r="E43" s="5">
        <f>C43-D43</f>
        <v>0</v>
      </c>
      <c r="F43" s="5">
        <f>COUNTIF($C$50,B43)</f>
        <v>0</v>
      </c>
      <c r="G43" s="5">
        <f>E43-F43</f>
        <v>0</v>
      </c>
    </row>
    <row r="44" spans="1:15" hidden="1" x14ac:dyDescent="0.3">
      <c r="B44" s="45">
        <v>2180</v>
      </c>
      <c r="C44" s="5">
        <f>COUNTIF($E$6:$E$9,B44)</f>
        <v>0</v>
      </c>
      <c r="D44" s="5">
        <f t="shared" ref="D44:D46" si="4">COUNTIF($C$49,B44)</f>
        <v>0</v>
      </c>
      <c r="E44" s="5">
        <f t="shared" ref="E44:E46" si="5">C44-D44</f>
        <v>0</v>
      </c>
      <c r="F44" s="5">
        <f t="shared" ref="F44:F46" si="6">COUNTIF($C$50,B44)</f>
        <v>0</v>
      </c>
      <c r="G44" s="5">
        <f t="shared" ref="G44:G46" si="7">E44-F44</f>
        <v>0</v>
      </c>
    </row>
    <row r="45" spans="1:15" hidden="1" x14ac:dyDescent="0.3">
      <c r="B45" s="45">
        <v>2625</v>
      </c>
      <c r="C45" s="5">
        <f>COUNTIF($E$6:$E$9,B45)</f>
        <v>0</v>
      </c>
      <c r="D45" s="5">
        <f t="shared" si="4"/>
        <v>0</v>
      </c>
      <c r="E45" s="5">
        <f t="shared" si="5"/>
        <v>0</v>
      </c>
      <c r="F45" s="5">
        <f t="shared" si="6"/>
        <v>0</v>
      </c>
      <c r="G45" s="5">
        <f t="shared" si="7"/>
        <v>0</v>
      </c>
    </row>
    <row r="46" spans="1:15" hidden="1" x14ac:dyDescent="0.3">
      <c r="B46" s="47">
        <v>2960</v>
      </c>
      <c r="C46" s="5">
        <f>COUNTIF($E$6:$E$9,B46)</f>
        <v>0</v>
      </c>
      <c r="D46" s="5">
        <f t="shared" si="4"/>
        <v>0</v>
      </c>
      <c r="E46" s="5">
        <f t="shared" si="5"/>
        <v>0</v>
      </c>
      <c r="F46" s="5">
        <f t="shared" si="6"/>
        <v>0</v>
      </c>
      <c r="G46" s="5">
        <f t="shared" si="7"/>
        <v>0</v>
      </c>
    </row>
    <row r="47" spans="1:15" hidden="1" x14ac:dyDescent="0.3">
      <c r="C47" s="6"/>
    </row>
    <row r="48" spans="1:15" hidden="1" x14ac:dyDescent="0.3">
      <c r="B48" s="5" t="s">
        <v>80</v>
      </c>
    </row>
    <row r="49" spans="2:3" hidden="1" x14ac:dyDescent="0.3">
      <c r="B49" s="5">
        <v>1</v>
      </c>
      <c r="C49" s="5" t="str">
        <f>IF($C$43&gt;0,$B$43,IF($C$44&gt;0,$B$44,IF($C$45&gt;0,$B$45,IF(C46&gt;0,$B$46,""))))</f>
        <v/>
      </c>
    </row>
    <row r="50" spans="2:3" hidden="1" x14ac:dyDescent="0.3">
      <c r="B50" s="5">
        <v>2</v>
      </c>
      <c r="C50" s="5" t="str">
        <f>IF($E$43&gt;0,$B$43,IF($E$44&gt;0,$B$44,IF($E$45&gt;0,$B$45,IF(E46&gt;0,$B$46,""))))</f>
        <v/>
      </c>
    </row>
    <row r="51" spans="2:3" hidden="1" x14ac:dyDescent="0.3">
      <c r="B51" s="5">
        <v>3</v>
      </c>
      <c r="C51" s="5" t="str">
        <f>IF($G$43&gt;0,$B$43,IF($G$44&gt;0,$B$44,IF($G$45&gt;0,$B$45,IF(G46&gt;0,$B$46,""))))</f>
        <v/>
      </c>
    </row>
  </sheetData>
  <sheetProtection algorithmName="SHA-512" hashValue="ha1q8XT9JxDAoQXMoQU7ic4h28m6vSrA3MCSvIay6J0HLcvYgbz5qgSpDdwUGr9JbXPI6Yy/ELqsCL+zTuZNeA==" saltValue="iLyF06Im5hIas5QOqJ7X9g==" spinCount="100000" sheet="1" selectLockedCells="1"/>
  <sortState xmlns:xlrd2="http://schemas.microsoft.com/office/spreadsheetml/2017/richdata2" ref="B43:C46">
    <sortCondition ref="B43"/>
  </sortState>
  <mergeCells count="13">
    <mergeCell ref="F28:H28"/>
    <mergeCell ref="C27:D27"/>
    <mergeCell ref="A1:O1"/>
    <mergeCell ref="L16:M16"/>
    <mergeCell ref="L18:M18"/>
    <mergeCell ref="L20:M20"/>
    <mergeCell ref="I4:L4"/>
    <mergeCell ref="G4:H4"/>
    <mergeCell ref="L22:M22"/>
    <mergeCell ref="C14:F14"/>
    <mergeCell ref="C19:F19"/>
    <mergeCell ref="F21:H21"/>
    <mergeCell ref="C21:D21"/>
  </mergeCells>
  <phoneticPr fontId="3" type="noConversion"/>
  <dataValidations count="2">
    <dataValidation type="list" allowBlank="1" showInputMessage="1" showErrorMessage="1" sqref="L16" xr:uid="{D7A32CEC-07BA-4B02-AE73-38B8EF84139F}">
      <formula1>$S$19:$S$23</formula1>
    </dataValidation>
    <dataValidation type="list" allowBlank="1" showInputMessage="1" showErrorMessage="1" sqref="D6:D11" xr:uid="{043AD4B4-2515-462E-9471-1481D1D584AE}">
      <formula1>$S$1:$S$9</formula1>
    </dataValidation>
  </dataValidation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3658-C7CA-412D-B452-2FDCA371CA9A}">
  <dimension ref="D13:N29"/>
  <sheetViews>
    <sheetView topLeftCell="B4" workbookViewId="0">
      <selection activeCell="E26" sqref="E26:G29"/>
    </sheetView>
  </sheetViews>
  <sheetFormatPr defaultRowHeight="15" x14ac:dyDescent="0.25"/>
  <cols>
    <col min="4" max="4" width="18.85546875" customWidth="1"/>
    <col min="5" max="5" width="9.140625" customWidth="1"/>
    <col min="6" max="6" width="10.28515625" customWidth="1"/>
    <col min="7" max="7" width="10" customWidth="1"/>
    <col min="10" max="10" width="20.5703125" customWidth="1"/>
  </cols>
  <sheetData>
    <row r="13" spans="4:14" ht="16.5" x14ac:dyDescent="0.3">
      <c r="D13" s="69" t="s">
        <v>67</v>
      </c>
      <c r="E13" s="69">
        <v>2020</v>
      </c>
      <c r="F13" s="69">
        <v>2021</v>
      </c>
      <c r="G13" s="62" t="s">
        <v>66</v>
      </c>
      <c r="H13" s="24" t="s">
        <v>66</v>
      </c>
      <c r="I13" s="24"/>
      <c r="J13" s="69" t="s">
        <v>3</v>
      </c>
      <c r="K13" s="69"/>
      <c r="L13" s="69">
        <v>2020</v>
      </c>
      <c r="M13" s="69">
        <v>2021</v>
      </c>
      <c r="N13" s="62" t="s">
        <v>66</v>
      </c>
    </row>
    <row r="14" spans="4:14" ht="16.5" x14ac:dyDescent="0.3">
      <c r="D14" s="66" t="s">
        <v>0</v>
      </c>
      <c r="E14" s="63">
        <v>2180</v>
      </c>
      <c r="F14" s="63">
        <v>2180</v>
      </c>
      <c r="G14" s="68">
        <f>(E14-F14)/E14</f>
        <v>0</v>
      </c>
      <c r="H14" s="21"/>
      <c r="I14" s="21"/>
      <c r="J14" s="71" t="s">
        <v>42</v>
      </c>
      <c r="K14" s="49"/>
      <c r="L14" s="72">
        <v>159</v>
      </c>
      <c r="M14" s="72">
        <v>159</v>
      </c>
      <c r="N14" s="68">
        <f t="shared" ref="N14:N18" si="0">(L14-M14)/L14</f>
        <v>0</v>
      </c>
    </row>
    <row r="15" spans="4:14" ht="16.5" x14ac:dyDescent="0.3">
      <c r="D15" s="66" t="s">
        <v>2</v>
      </c>
      <c r="E15" s="63">
        <v>2625</v>
      </c>
      <c r="F15" s="63">
        <v>2625</v>
      </c>
      <c r="G15" s="68">
        <f t="shared" ref="G15:G17" si="1">(E15-F15)/E15</f>
        <v>0</v>
      </c>
      <c r="H15" s="21"/>
      <c r="I15" s="21"/>
      <c r="J15" s="71" t="s">
        <v>43</v>
      </c>
      <c r="K15" s="49"/>
      <c r="L15" s="72">
        <v>159</v>
      </c>
      <c r="M15" s="72">
        <v>159</v>
      </c>
      <c r="N15" s="68">
        <f t="shared" si="0"/>
        <v>0</v>
      </c>
    </row>
    <row r="16" spans="4:14" ht="16.5" x14ac:dyDescent="0.3">
      <c r="D16" s="66" t="s">
        <v>61</v>
      </c>
      <c r="E16" s="63">
        <v>3920</v>
      </c>
      <c r="F16" s="63">
        <v>2960</v>
      </c>
      <c r="G16" s="68">
        <f t="shared" si="1"/>
        <v>0.24489795918367346</v>
      </c>
      <c r="H16" s="21"/>
      <c r="I16" s="21"/>
      <c r="J16" s="71" t="s">
        <v>44</v>
      </c>
      <c r="K16" s="49"/>
      <c r="L16" s="72">
        <v>450</v>
      </c>
      <c r="M16" s="72">
        <v>360</v>
      </c>
      <c r="N16" s="68">
        <f t="shared" si="0"/>
        <v>0.2</v>
      </c>
    </row>
    <row r="17" spans="4:14" ht="16.5" x14ac:dyDescent="0.3">
      <c r="D17" s="66" t="s">
        <v>62</v>
      </c>
      <c r="E17" s="63">
        <v>3920</v>
      </c>
      <c r="F17" s="63">
        <v>1960</v>
      </c>
      <c r="G17" s="68">
        <f t="shared" si="1"/>
        <v>0.5</v>
      </c>
      <c r="H17" s="21"/>
      <c r="I17" s="21"/>
      <c r="J17" s="71" t="s">
        <v>45</v>
      </c>
      <c r="K17" s="49"/>
      <c r="L17" s="72">
        <v>512</v>
      </c>
      <c r="M17" s="72">
        <f>L17*0.5</f>
        <v>256</v>
      </c>
      <c r="N17" s="68">
        <f t="shared" si="0"/>
        <v>0.5</v>
      </c>
    </row>
    <row r="18" spans="4:14" ht="16.5" x14ac:dyDescent="0.3">
      <c r="D18" s="28"/>
      <c r="E18" s="28"/>
      <c r="F18" s="29"/>
      <c r="G18" s="29"/>
      <c r="H18" s="21"/>
      <c r="I18" s="21"/>
      <c r="J18" s="71" t="s">
        <v>4</v>
      </c>
      <c r="K18" s="49"/>
      <c r="L18" s="72">
        <v>400</v>
      </c>
      <c r="M18" s="72">
        <v>600</v>
      </c>
      <c r="N18" s="68">
        <f t="shared" si="0"/>
        <v>-0.5</v>
      </c>
    </row>
    <row r="19" spans="4:14" ht="16.5" x14ac:dyDescent="0.3">
      <c r="D19" s="70" t="s">
        <v>63</v>
      </c>
      <c r="E19" s="70">
        <v>2020</v>
      </c>
      <c r="F19" s="70">
        <v>2021</v>
      </c>
      <c r="G19" s="64" t="s">
        <v>68</v>
      </c>
      <c r="H19" s="21"/>
      <c r="I19" s="21"/>
      <c r="J19" s="32"/>
      <c r="K19" s="22"/>
      <c r="L19" s="22"/>
      <c r="M19" s="22"/>
      <c r="N19" s="26"/>
    </row>
    <row r="20" spans="4:14" ht="16.5" x14ac:dyDescent="0.3">
      <c r="D20" s="66" t="s">
        <v>11</v>
      </c>
      <c r="E20" s="67">
        <v>0.15</v>
      </c>
      <c r="F20" s="65">
        <v>0.5</v>
      </c>
      <c r="G20" s="65">
        <f>F20-E20</f>
        <v>0.35</v>
      </c>
      <c r="H20" s="21"/>
      <c r="I20" s="21"/>
      <c r="J20" s="73" t="s">
        <v>46</v>
      </c>
      <c r="K20" s="73"/>
      <c r="L20" s="69">
        <v>2020</v>
      </c>
      <c r="M20" s="69">
        <v>2021</v>
      </c>
      <c r="N20" s="62" t="s">
        <v>66</v>
      </c>
    </row>
    <row r="21" spans="4:14" ht="16.5" x14ac:dyDescent="0.3">
      <c r="D21" s="66" t="s">
        <v>12</v>
      </c>
      <c r="E21" s="67">
        <v>1</v>
      </c>
      <c r="F21" s="65">
        <v>0.6</v>
      </c>
      <c r="G21" s="65">
        <f t="shared" ref="G21:G22" si="2">F21-E21</f>
        <v>-0.4</v>
      </c>
      <c r="H21" s="21"/>
      <c r="I21" s="21"/>
      <c r="J21" s="71" t="s">
        <v>6</v>
      </c>
      <c r="K21" s="49"/>
      <c r="L21" s="72">
        <v>62</v>
      </c>
      <c r="M21" s="72">
        <v>52</v>
      </c>
      <c r="N21" s="68">
        <f t="shared" ref="N21:N23" si="3">(L21-M21)/L21</f>
        <v>0.16129032258064516</v>
      </c>
    </row>
    <row r="22" spans="4:14" ht="16.5" x14ac:dyDescent="0.3">
      <c r="D22" s="66" t="s">
        <v>13</v>
      </c>
      <c r="E22" s="67">
        <v>1</v>
      </c>
      <c r="F22" s="65">
        <v>1</v>
      </c>
      <c r="G22" s="65">
        <f t="shared" si="2"/>
        <v>0</v>
      </c>
      <c r="H22" s="21"/>
      <c r="I22" s="21"/>
      <c r="J22" s="71" t="s">
        <v>7</v>
      </c>
      <c r="K22" s="49"/>
      <c r="L22" s="72">
        <v>62</v>
      </c>
      <c r="M22" s="72">
        <v>52</v>
      </c>
      <c r="N22" s="68">
        <f t="shared" si="3"/>
        <v>0.16129032258064516</v>
      </c>
    </row>
    <row r="23" spans="4:14" ht="16.5" x14ac:dyDescent="0.3">
      <c r="H23" s="21"/>
      <c r="I23" s="21"/>
      <c r="J23" s="71" t="s">
        <v>8</v>
      </c>
      <c r="K23" s="49"/>
      <c r="L23" s="72">
        <v>540</v>
      </c>
      <c r="M23" s="72">
        <v>440</v>
      </c>
      <c r="N23" s="68">
        <f t="shared" si="3"/>
        <v>0.18518518518518517</v>
      </c>
    </row>
    <row r="24" spans="4:14" ht="16.5" x14ac:dyDescent="0.3">
      <c r="H24" s="21"/>
      <c r="I24" s="21"/>
      <c r="J24" s="28"/>
      <c r="K24" s="29"/>
      <c r="L24" s="29"/>
      <c r="M24" s="29"/>
      <c r="N24" s="11"/>
    </row>
    <row r="25" spans="4:14" ht="16.5" x14ac:dyDescent="0.3">
      <c r="H25" s="21"/>
      <c r="I25" s="21"/>
      <c r="J25" s="28"/>
      <c r="K25" s="29"/>
      <c r="L25" s="29"/>
      <c r="M25" s="29"/>
      <c r="N25" s="11"/>
    </row>
    <row r="26" spans="4:14" ht="16.5" x14ac:dyDescent="0.3">
      <c r="E26" s="82">
        <f>-$F14*0.5</f>
        <v>-1090</v>
      </c>
      <c r="F26" s="82">
        <f>-$F14*0.6</f>
        <v>-1308</v>
      </c>
      <c r="G26" s="82">
        <f>-$F14</f>
        <v>-2180</v>
      </c>
      <c r="H26" s="21"/>
      <c r="I26" s="21"/>
      <c r="J26" s="28"/>
      <c r="K26" s="29"/>
      <c r="L26" s="29"/>
      <c r="M26" s="29"/>
      <c r="N26" s="11"/>
    </row>
    <row r="27" spans="4:14" ht="16.5" x14ac:dyDescent="0.3">
      <c r="E27" s="82">
        <f t="shared" ref="E27:E29" si="4">-$F15*0.5</f>
        <v>-1312.5</v>
      </c>
      <c r="F27" s="82">
        <f t="shared" ref="F27:F29" si="5">-$F15*0.6</f>
        <v>-1575</v>
      </c>
      <c r="G27" s="82">
        <f t="shared" ref="G27:G29" si="6">-$F15</f>
        <v>-2625</v>
      </c>
      <c r="H27" s="21"/>
      <c r="I27" s="21"/>
      <c r="J27" s="28"/>
      <c r="K27" s="29"/>
      <c r="L27" s="29"/>
      <c r="M27" s="29"/>
      <c r="N27" s="11"/>
    </row>
    <row r="28" spans="4:14" ht="16.5" x14ac:dyDescent="0.3">
      <c r="E28" s="82">
        <f t="shared" si="4"/>
        <v>-1480</v>
      </c>
      <c r="F28" s="82">
        <f t="shared" si="5"/>
        <v>-1776</v>
      </c>
      <c r="G28" s="82">
        <f t="shared" si="6"/>
        <v>-2960</v>
      </c>
      <c r="H28" s="21"/>
      <c r="I28" s="21"/>
      <c r="J28" s="28"/>
      <c r="K28" s="29"/>
      <c r="L28" s="29"/>
      <c r="M28" s="29"/>
      <c r="N28" s="11"/>
    </row>
    <row r="29" spans="4:14" ht="16.5" x14ac:dyDescent="0.3">
      <c r="E29" s="82">
        <f t="shared" si="4"/>
        <v>-980</v>
      </c>
      <c r="F29" s="82">
        <f t="shared" si="5"/>
        <v>-1176</v>
      </c>
      <c r="G29" s="82">
        <f t="shared" si="6"/>
        <v>-1960</v>
      </c>
      <c r="H29" s="21"/>
      <c r="I29" s="21"/>
      <c r="J29" s="28"/>
      <c r="K29" s="29"/>
      <c r="L29" s="29"/>
      <c r="M29" s="29"/>
      <c r="N2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A812-7FB3-4EE7-8F79-5BC7A999037B}">
  <dimension ref="C4:H24"/>
  <sheetViews>
    <sheetView topLeftCell="A2" workbookViewId="0">
      <selection activeCell="K17" sqref="K17"/>
    </sheetView>
  </sheetViews>
  <sheetFormatPr defaultRowHeight="15" x14ac:dyDescent="0.25"/>
  <cols>
    <col min="6" max="6" width="11.85546875" customWidth="1"/>
    <col min="7" max="7" width="14.140625" customWidth="1"/>
  </cols>
  <sheetData>
    <row r="4" spans="3:8" x14ac:dyDescent="0.25">
      <c r="C4" s="3" t="s">
        <v>9</v>
      </c>
      <c r="D4" s="1"/>
      <c r="E4" s="1"/>
      <c r="F4" s="1"/>
      <c r="G4" s="1"/>
    </row>
    <row r="5" spans="3:8" x14ac:dyDescent="0.25">
      <c r="C5" s="1"/>
      <c r="D5" s="1"/>
      <c r="E5" s="1"/>
      <c r="F5" s="1">
        <v>2019</v>
      </c>
      <c r="G5" s="1">
        <v>2020</v>
      </c>
      <c r="H5" t="s">
        <v>10</v>
      </c>
    </row>
    <row r="6" spans="3:8" x14ac:dyDescent="0.25">
      <c r="C6" s="1" t="s">
        <v>0</v>
      </c>
      <c r="D6" s="1"/>
      <c r="E6" s="1"/>
      <c r="F6" s="2">
        <v>2130</v>
      </c>
      <c r="G6" s="2">
        <v>2180</v>
      </c>
      <c r="H6" s="4">
        <f>(G6-F6)/F6</f>
        <v>2.3474178403755867E-2</v>
      </c>
    </row>
    <row r="7" spans="3:8" x14ac:dyDescent="0.25">
      <c r="C7" s="1" t="s">
        <v>2</v>
      </c>
      <c r="D7" s="1"/>
      <c r="E7" s="1"/>
      <c r="F7" s="2">
        <v>2560</v>
      </c>
      <c r="G7" s="2">
        <v>2625</v>
      </c>
      <c r="H7" s="4">
        <f t="shared" ref="H7:H8" si="0">(G7-F7)/F7</f>
        <v>2.5390625E-2</v>
      </c>
    </row>
    <row r="8" spans="3:8" x14ac:dyDescent="0.25">
      <c r="C8" s="1" t="s">
        <v>1</v>
      </c>
      <c r="D8" s="1"/>
      <c r="E8" s="1"/>
      <c r="F8" s="2">
        <v>3825</v>
      </c>
      <c r="G8" s="2">
        <v>3920</v>
      </c>
      <c r="H8" s="4">
        <f t="shared" si="0"/>
        <v>2.4836601307189541E-2</v>
      </c>
    </row>
    <row r="9" spans="3:8" x14ac:dyDescent="0.25">
      <c r="C9" s="1"/>
      <c r="D9" s="1"/>
      <c r="E9" s="1"/>
      <c r="F9" s="2"/>
      <c r="G9" s="1"/>
    </row>
    <row r="10" spans="3:8" x14ac:dyDescent="0.25">
      <c r="C10" s="1"/>
      <c r="D10" s="1"/>
      <c r="E10" s="1"/>
      <c r="F10" s="2"/>
      <c r="G10" s="1"/>
    </row>
    <row r="11" spans="3:8" x14ac:dyDescent="0.25">
      <c r="C11" s="3" t="s">
        <v>3</v>
      </c>
      <c r="D11" s="1"/>
      <c r="E11" s="1"/>
      <c r="F11" s="2"/>
      <c r="G11" s="1"/>
    </row>
    <row r="12" spans="3:8" x14ac:dyDescent="0.25">
      <c r="C12" s="1"/>
      <c r="D12" s="1"/>
      <c r="E12" s="1"/>
      <c r="F12" s="2"/>
      <c r="G12" s="1"/>
    </row>
    <row r="13" spans="3:8" x14ac:dyDescent="0.25">
      <c r="C13" s="1" t="s">
        <v>42</v>
      </c>
      <c r="D13" s="1"/>
      <c r="E13" s="1"/>
      <c r="F13" s="2">
        <v>155</v>
      </c>
      <c r="G13" s="2">
        <v>159</v>
      </c>
      <c r="H13" s="4">
        <f>(G13-F13)/F13</f>
        <v>2.5806451612903226E-2</v>
      </c>
    </row>
    <row r="14" spans="3:8" x14ac:dyDescent="0.25">
      <c r="C14" s="1" t="s">
        <v>43</v>
      </c>
      <c r="D14" s="1"/>
      <c r="E14" s="1"/>
      <c r="F14" s="2">
        <v>155</v>
      </c>
      <c r="G14" s="2">
        <v>159</v>
      </c>
      <c r="H14" s="4">
        <f t="shared" ref="H14:H16" si="1">(G14-F14)/F14</f>
        <v>2.5806451612903226E-2</v>
      </c>
    </row>
    <row r="15" spans="3:8" x14ac:dyDescent="0.25">
      <c r="C15" s="1" t="s">
        <v>44</v>
      </c>
      <c r="D15" s="1"/>
      <c r="E15" s="1"/>
      <c r="F15" s="2">
        <v>440</v>
      </c>
      <c r="G15" s="2">
        <v>450</v>
      </c>
      <c r="H15" s="4">
        <f t="shared" si="1"/>
        <v>2.2727272727272728E-2</v>
      </c>
    </row>
    <row r="16" spans="3:8" x14ac:dyDescent="0.25">
      <c r="C16" s="1" t="s">
        <v>45</v>
      </c>
      <c r="D16" s="1"/>
      <c r="E16" s="1"/>
      <c r="F16" s="2">
        <v>500</v>
      </c>
      <c r="G16" s="2">
        <v>512</v>
      </c>
      <c r="H16" s="4">
        <f t="shared" si="1"/>
        <v>2.4E-2</v>
      </c>
    </row>
    <row r="17" spans="3:8" x14ac:dyDescent="0.25">
      <c r="C17" s="1" t="s">
        <v>4</v>
      </c>
      <c r="D17" s="1"/>
      <c r="E17" s="1"/>
      <c r="F17" s="2">
        <v>550</v>
      </c>
      <c r="G17" s="2">
        <v>400</v>
      </c>
      <c r="H17" s="4">
        <f t="shared" ref="H17" si="2">(G17-F17)/F17</f>
        <v>-0.27272727272727271</v>
      </c>
    </row>
    <row r="18" spans="3:8" x14ac:dyDescent="0.25">
      <c r="C18" s="1"/>
      <c r="D18" s="1"/>
      <c r="E18" s="1"/>
      <c r="F18" s="2"/>
      <c r="G18" s="1"/>
      <c r="H18" s="4"/>
    </row>
    <row r="19" spans="3:8" x14ac:dyDescent="0.25">
      <c r="C19" s="1"/>
      <c r="D19" s="1"/>
      <c r="E19" s="1"/>
      <c r="F19" s="2"/>
      <c r="G19" s="1"/>
    </row>
    <row r="20" spans="3:8" x14ac:dyDescent="0.25">
      <c r="C20" s="3" t="s">
        <v>5</v>
      </c>
      <c r="D20" s="1"/>
      <c r="E20" s="1"/>
      <c r="F20" s="2"/>
      <c r="G20" s="1"/>
    </row>
    <row r="21" spans="3:8" x14ac:dyDescent="0.25">
      <c r="C21" s="1"/>
      <c r="D21" s="1"/>
      <c r="E21" s="1"/>
      <c r="F21" s="2"/>
      <c r="G21" s="1"/>
    </row>
    <row r="22" spans="3:8" x14ac:dyDescent="0.25">
      <c r="C22" s="1" t="s">
        <v>6</v>
      </c>
      <c r="D22" s="1"/>
      <c r="E22" s="1"/>
      <c r="F22" s="2">
        <v>60</v>
      </c>
      <c r="G22" s="2">
        <v>62</v>
      </c>
      <c r="H22" s="4">
        <f>(G22-F22)/F22</f>
        <v>3.3333333333333333E-2</v>
      </c>
    </row>
    <row r="23" spans="3:8" x14ac:dyDescent="0.25">
      <c r="C23" s="1" t="s">
        <v>7</v>
      </c>
      <c r="D23" s="1"/>
      <c r="E23" s="1"/>
      <c r="F23" s="2">
        <v>60</v>
      </c>
      <c r="G23" s="2">
        <v>62</v>
      </c>
      <c r="H23" s="4">
        <f t="shared" ref="H23:H24" si="3">(G23-F23)/F23</f>
        <v>3.3333333333333333E-2</v>
      </c>
    </row>
    <row r="24" spans="3:8" x14ac:dyDescent="0.25">
      <c r="C24" s="1" t="s">
        <v>8</v>
      </c>
      <c r="D24" s="1"/>
      <c r="E24" s="1"/>
      <c r="F24" s="2">
        <v>500</v>
      </c>
      <c r="G24" s="2">
        <f>F24*1.08</f>
        <v>540</v>
      </c>
      <c r="H24" s="4">
        <f t="shared" si="3"/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 calculator</vt:lpstr>
      <vt:lpstr>2020 vs 2021</vt:lpstr>
      <vt:lpstr>2019 vs 2020</vt:lpstr>
      <vt:lpstr>'Fee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Winder</dc:creator>
  <cp:lastModifiedBy>Katherine Ford</cp:lastModifiedBy>
  <cp:lastPrinted>2019-11-13T05:19:39Z</cp:lastPrinted>
  <dcterms:created xsi:type="dcterms:W3CDTF">2019-10-16T06:19:50Z</dcterms:created>
  <dcterms:modified xsi:type="dcterms:W3CDTF">2020-08-21T02:08:10Z</dcterms:modified>
</cp:coreProperties>
</file>